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evm.org\daten\enm\NW\NW-D\Gas\"/>
    </mc:Choice>
  </mc:AlternateContent>
  <bookViews>
    <workbookView xWindow="240" yWindow="1035" windowWidth="15600" windowHeight="633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/>
</workbook>
</file>

<file path=xl/calcChain.xml><?xml version="1.0" encoding="utf-8"?>
<calcChain xmlns="http://schemas.openxmlformats.org/spreadsheetml/2006/main">
  <c r="F12" i="7" l="1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D56" i="18" s="1"/>
  <c r="J55" i="18" s="1"/>
  <c r="M53" i="18"/>
  <c r="I63" i="18"/>
  <c r="N63" i="18"/>
  <c r="N21" i="18"/>
  <c r="M21" i="18"/>
  <c r="I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H21" i="18" l="1"/>
  <c r="F21" i="18"/>
  <c r="L21" i="18"/>
  <c r="E31" i="18"/>
  <c r="D66" i="18"/>
  <c r="K65" i="18" s="1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65" i="18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4" i="7" l="1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H14" i="7"/>
  <c r="P12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I20" i="7"/>
  <c r="F19" i="7"/>
  <c r="I18" i="7"/>
  <c r="K17" i="7"/>
  <c r="M16" i="7"/>
  <c r="O15" i="7"/>
  <c r="F15" i="7"/>
  <c r="O13" i="7"/>
  <c r="F13" i="7"/>
  <c r="I12" i="7"/>
  <c r="N13" i="7"/>
  <c r="L12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P13" i="7"/>
  <c r="L13" i="7"/>
  <c r="H13" i="7"/>
  <c r="N12" i="7"/>
  <c r="J12" i="7"/>
  <c r="I24" i="7"/>
  <c r="O23" i="7"/>
  <c r="K23" i="7"/>
  <c r="F23" i="7"/>
  <c r="M22" i="7"/>
  <c r="I22" i="7"/>
  <c r="O21" i="7"/>
  <c r="K21" i="7"/>
  <c r="F21" i="7"/>
  <c r="M20" i="7"/>
  <c r="O19" i="7"/>
  <c r="K19" i="7"/>
  <c r="M18" i="7"/>
  <c r="O17" i="7"/>
  <c r="F17" i="7"/>
  <c r="I16" i="7"/>
  <c r="K15" i="7"/>
  <c r="M14" i="7"/>
  <c r="I14" i="7"/>
  <c r="K13" i="7"/>
  <c r="M12" i="7"/>
  <c r="L14" i="7"/>
  <c r="J13" i="7"/>
  <c r="H12" i="7"/>
  <c r="M24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<sst xmlns="http://schemas.openxmlformats.org/spreadsheetml/2006/main" count="1373" uniqueCount="678">
  <si>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</si>
  <si>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</si>
  <si>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</si>
  <si>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</si>
  <si>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</si>
  <si>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</si>
  <si>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</si>
  <si>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</si>
  <si>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</si>
  <si>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</si>
  <si>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</si>
  <si>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</si>
  <si>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</si>
  <si>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</si>
  <si>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</si>
  <si>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</si>
  <si>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</si>
  <si>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</si>
  <si>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</si>
  <si>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</si>
  <si>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</si>
  <si>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</si>
  <si>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</si>
  <si>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</si>
  <si>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</si>
  <si>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</si>
  <si>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</si>
  <si>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</si>
  <si>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</si>
  <si>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</si>
  <si>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</si>
  <si>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</si>
  <si>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</si>
  <si>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</si>
  <si>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</si>
  <si>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</si>
  <si>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</si>
  <si>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</si>
  <si>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</si>
  <si>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</si>
  <si>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</si>
  <si>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</si>
  <si>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</si>
  <si>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</si>
  <si>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</si>
  <si>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</si>
  <si>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</si>
  <si>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</si>
  <si>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</si>
  <si>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</si>
  <si>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</si>
  <si>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</si>
  <si>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</si>
  <si>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</si>
  <si>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</si>
  <si>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</si>
  <si>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</si>
  <si>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</si>
  <si>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</si>
  <si>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</si>
  <si>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</si>
  <si>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</si>
  <si>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</si>
  <si>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</si>
  <si>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</si>
  <si>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</si>
  <si>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</si>
  <si>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</si>
  <si>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</si>
  <si>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</si>
  <si>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</si>
  <si>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</si>
  <si>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</si>
  <si>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</si>
  <si>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</si>
  <si>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</si>
  <si>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</si>
  <si>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</si>
  <si>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</si>
  <si>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</si>
  <si>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</si>
  <si>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</si>
  <si>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</si>
  <si>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</si>
  <si>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</si>
  <si>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</si>
  <si>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</si>
  <si>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</si>
  <si>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</si>
  <si>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</si>
  <si>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</si>
  <si>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</si>
  <si>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</si>
  <si>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</si>
  <si>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</si>
  <si>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</si>
  <si>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</si>
  <si>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</si>
  <si>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</si>
  <si>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</si>
  <si>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</si>
  <si>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</si>
  <si>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</si>
  <si>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</si>
  <si>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</si>
  <si>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</si>
  <si>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</si>
  <si>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</si>
  <si>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</si>
  <si>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</si>
  <si>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</si>
  <si>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</si>
  <si>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</si>
  <si>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</si>
  <si>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</si>
  <si>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</si>
  <si>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</si>
  <si>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</si>
  <si>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</si>
  <si>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</si>
  <si>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</si>
  <si>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</si>
  <si>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</si>
  <si>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</si>
  <si>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</si>
  <si>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</si>
  <si>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</si>
  <si>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</si>
  <si>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</si>
  <si>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</si>
  <si>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</si>
  <si>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</si>
  <si>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</si>
  <si>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</si>
  <si>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</si>
  <si>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</si>
  <si>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</si>
  <si>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</si>
  <si>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</si>
  <si>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</si>
  <si>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</si>
  <si>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</si>
  <si>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</si>
  <si>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</si>
  <si>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</si>
  <si>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</si>
  <si>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</si>
  <si>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</si>
  <si>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</si>
  <si>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</si>
  <si>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</si>
  <si>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</si>
  <si>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</si>
  <si>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</si>
  <si>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</si>
  <si>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</si>
  <si>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</si>
  <si>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</si>
  <si>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</si>
  <si>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</si>
  <si>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</si>
  <si>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</si>
  <si>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</si>
  <si>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</si>
  <si>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</si>
  <si>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</si>
  <si>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</si>
  <si>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</si>
  <si>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</si>
  <si>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</si>
  <si>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</si>
  <si>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</si>
  <si>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</si>
  <si>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</si>
  <si>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</si>
  <si>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</si>
  <si>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</si>
  <si>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</si>
  <si>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</si>
  <si>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</si>
  <si>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</si>
  <si>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</si>
  <si>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</si>
  <si>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</si>
  <si>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</si>
  <si>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</si>
  <si>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</si>
  <si>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</si>
  <si>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</si>
  <si>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</si>
  <si>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</si>
  <si>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</si>
  <si>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</si>
  <si>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</si>
  <si>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</si>
  <si>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</si>
  <si>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</si>
  <si>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</si>
  <si>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</si>
  <si>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</si>
  <si>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</si>
  <si>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</si>
  <si>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</si>
  <si>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</si>
  <si>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</si>
  <si>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</si>
  <si>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</si>
  <si>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</si>
  <si>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</si>
  <si>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</si>
  <si>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</si>
  <si>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</si>
  <si>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</si>
  <si>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</si>
  <si>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</si>
  <si>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</si>
  <si>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</si>
  <si>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</si>
  <si>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</si>
  <si>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</si>
  <si>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</si>
  <si>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</si>
  <si>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</si>
  <si>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</si>
  <si>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</si>
  <si>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</si>
  <si>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</si>
  <si>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</si>
  <si>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</si>
  <si>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</si>
  <si>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</si>
  <si>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</si>
  <si>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</si>
  <si>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</si>
  <si>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</si>
  <si>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</si>
  <si>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</si>
  <si>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</si>
  <si>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</si>
  <si>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</si>
  <si>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</si>
  <si>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</si>
  <si>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</si>
  <si>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</si>
  <si>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</si>
  <si>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</si>
  <si>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</si>
  <si>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</si>
  <si>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</si>
  <si>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</si>
  <si>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</si>
  <si>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</si>
  <si>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</si>
  <si>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</si>
  <si>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</si>
  <si>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</si>
  <si>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</si>
  <si>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</si>
  <si>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</si>
  <si>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</si>
  <si>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</si>
  <si>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</si>
  <si>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</si>
  <si>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</si>
  <si>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</si>
  <si>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</si>
  <si>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</si>
  <si>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</si>
  <si>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</si>
  <si>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</si>
  <si>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</si>
  <si>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</si>
  <si>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</si>
  <si>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</si>
  <si>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</si>
  <si>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</si>
  <si>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</si>
  <si>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</si>
  <si>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</si>
  <si>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</si>
  <si>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</si>
  <si>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</si>
  <si>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</si>
  <si>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</si>
  <si>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</si>
  <si>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</si>
  <si>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</si>
  <si>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</si>
  <si>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</si>
  <si>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</si>
  <si>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</si>
  <si>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</si>
  <si>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</si>
  <si>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</si>
  <si>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</si>
  <si>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</si>
  <si>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</si>
  <si>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</si>
  <si>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</si>
  <si>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</si>
  <si>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</si>
  <si>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</si>
  <si>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</si>
  <si>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</si>
  <si>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</si>
  <si>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</si>
  <si>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</si>
  <si>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</si>
  <si>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</si>
  <si>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</si>
  <si>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</si>
  <si>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</si>
  <si>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</si>
  <si>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</si>
  <si>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</si>
  <si>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</si>
  <si>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</si>
  <si>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</si>
  <si>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</si>
  <si>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</si>
  <si>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</si>
  <si>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</si>
  <si>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</si>
  <si>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</si>
  <si>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</si>
  <si>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</si>
  <si>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</si>
  <si>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</si>
  <si>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</si>
  <si>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</si>
  <si>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</si>
  <si>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</si>
  <si>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</si>
  <si>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</si>
  <si>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</si>
  <si>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</si>
  <si>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</si>
  <si>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</si>
  <si>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</si>
  <si>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</si>
  <si>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</si>
  <si>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</si>
  <si>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</si>
  <si>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</si>
  <si>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</si>
  <si>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</si>
  <si>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</si>
  <si>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</si>
  <si>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</si>
  <si>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</si>
  <si>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</si>
  <si>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</si>
  <si>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</si>
  <si>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</si>
  <si>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</si>
  <si>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</si>
  <si>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</si>
  <si>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</si>
  <si>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</si>
  <si>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</si>
  <si>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</si>
  <si>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</si>
  <si>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</si>
  <si>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</si>
  <si>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</si>
  <si>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</si>
  <si>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</si>
  <si>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</si>
  <si>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</si>
  <si>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</si>
  <si>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</si>
  <si>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</si>
  <si>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</si>
  <si>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</si>
  <si>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</si>
  <si>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</si>
  <si>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</si>
  <si>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</si>
  <si>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</si>
  <si>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</si>
  <si>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</si>
  <si>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</si>
  <si>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</si>
  <si>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</si>
  <si>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</si>
  <si>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</si>
  <si>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</si>
  <si>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</si>
  <si>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</si>
  <si>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</si>
  <si>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</si>
  <si>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</si>
  <si>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</si>
  <si>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</si>
  <si>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</si>
  <si>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</si>
  <si>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</si>
  <si>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</si>
  <si>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</si>
  <si>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</si>
  <si>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</si>
  <si>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</si>
  <si>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</si>
  <si>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</si>
  <si>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</si>
  <si>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</si>
  <si>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</si>
  <si>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</si>
  <si>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</si>
  <si>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</si>
  <si>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</si>
  <si>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</si>
  <si>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</si>
  <si>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</si>
  <si>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</si>
  <si>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</si>
  <si>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</si>
  <si>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</si>
  <si>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</si>
  <si>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</si>
  <si>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</si>
  <si>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</si>
  <si>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</si>
  <si>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</si>
  <si>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</si>
  <si>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</si>
  <si>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</si>
  <si>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</si>
  <si>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</si>
  <si>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</si>
  <si>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</si>
  <si>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</si>
  <si>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</si>
  <si>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</si>
  <si>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</si>
  <si>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</si>
  <si>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</si>
  <si>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</si>
  <si>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</si>
  <si>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</si>
  <si>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</si>
  <si>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</si>
  <si>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</si>
  <si>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</si>
  <si>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</si>
  <si>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</si>
  <si>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</si>
  <si>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</si>
  <si>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</si>
  <si>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</si>
  <si>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</si>
  <si>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</si>
  <si>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</si>
  <si>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</si>
  <si>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</si>
  <si>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</si>
  <si>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</si>
  <si>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</si>
  <si>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</si>
  <si>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</si>
  <si>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</si>
  <si>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</si>
  <si>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</si>
  <si>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</si>
  <si>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</si>
  <si>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</si>
  <si>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</si>
  <si>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</si>
  <si>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</si>
  <si>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</si>
  <si>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</si>
  <si>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</si>
  <si>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</si>
  <si>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</si>
  <si>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</si>
  <si>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</si>
  <si>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</si>
  <si>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</si>
  <si>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</si>
  <si>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</si>
  <si>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</si>
  <si>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</si>
  <si>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</si>
  <si>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</si>
  <si>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</si>
  <si>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</si>
  <si>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</si>
  <si>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</si>
  <si>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</si>
  <si>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</si>
  <si>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</si>
  <si>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</si>
  <si>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</si>
  <si>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</si>
  <si>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</si>
  <si>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</si>
  <si>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</si>
  <si>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</si>
  <si>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</si>
  <si>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</si>
  <si>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</si>
  <si>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</si>
  <si>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</si>
  <si>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</si>
  <si>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</si>
  <si>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</si>
  <si>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</si>
  <si>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</si>
  <si>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</si>
  <si>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</si>
  <si>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</si>
  <si>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</si>
  <si>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</si>
  <si>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</si>
  <si>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</si>
  <si>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</si>
  <si>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</si>
  <si>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</si>
  <si>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</si>
  <si>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</si>
  <si>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</si>
  <si>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</si>
  <si>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</si>
  <si>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</si>
  <si>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</si>
  <si>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</si>
  <si>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</si>
  <si>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</si>
  <si>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</si>
  <si>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</si>
  <si>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</si>
  <si>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</si>
  <si>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</si>
  <si>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</si>
  <si>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</si>
  <si>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</si>
  <si>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</si>
  <si>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</si>
  <si>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</si>
  <si>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</si>
  <si>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</si>
  <si>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</si>
  <si>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</si>
  <si>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</si>
  <si>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</si>
  <si>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</si>
  <si>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</si>
  <si>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</si>
  <si>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</si>
  <si>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</si>
  <si>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</si>
  <si>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</si>
  <si>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</si>
  <si>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</si>
  <si>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</si>
  <si>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</si>
  <si>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</si>
  <si>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</si>
  <si>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</si>
  <si>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</si>
  <si>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</si>
  <si>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</si>
  <si>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</si>
  <si>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</si>
  <si>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</si>
  <si>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</si>
  <si>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</si>
  <si>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</si>
  <si>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</si>
  <si>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</si>
  <si>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</si>
  <si>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</si>
  <si>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</si>
  <si>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</si>
  <si>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</si>
  <si>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</si>
  <si>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</si>
  <si>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</si>
  <si>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</si>
  <si>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</si>
  <si>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</si>
  <si>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</si>
  <si>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</si>
  <si>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</si>
  <si>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</si>
  <si>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</si>
  <si>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</si>
  <si>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</si>
  <si>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</si>
  <si>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</si>
  <si>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</si>
  <si>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</si>
  <si>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</si>
  <si>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</si>
  <si>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</si>
  <si>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</si>
  <si>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</si>
  <si>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</si>
  <si>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</si>
  <si>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</si>
  <si>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</si>
  <si>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</si>
  <si>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</si>
  <si>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</si>
  <si>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</si>
  <si>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</si>
  <si>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</si>
  <si>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</si>
  <si>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</si>
  <si>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</si>
  <si>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</si>
  <si>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</si>
  <si>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</si>
  <si>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</si>
  <si>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</si>
  <si>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</si>
  <si>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</si>
  <si>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</si>
  <si>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</si>
  <si>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</si>
  <si>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</si>
  <si>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</si>
  <si>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</si>
  <si>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</si>
  <si>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</si>
  <si>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</si>
  <si>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</si>
  <si>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</si>
  <si>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</si>
  <si>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</si>
  <si>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</si>
  <si>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</si>
  <si>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</si>
  <si>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</si>
  <si>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</si>
  <si>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</si>
  <si>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</si>
  <si>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</si>
  <si>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</si>
  <si>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</si>
  <si>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</si>
  <si>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</si>
  <si>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</si>
  <si>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</si>
  <si>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</si>
  <si>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</si>
  <si>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</si>
  <si>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</si>
  <si>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</si>
  <si>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</si>
  <si>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</si>
  <si>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</si>
  <si>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</si>
  <si>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</si>
  <si>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</si>
  <si>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</si>
  <si>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</si>
  <si>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Energienetze Mittelrhein GmbH &amp; Co. KG</t>
  </si>
  <si>
    <t>Schützenstraße 80 – 82</t>
  </si>
  <si>
    <t>Konrad Schall</t>
  </si>
  <si>
    <t>edm-gas@enm.de</t>
  </si>
  <si>
    <t>9870047700009</t>
  </si>
  <si>
    <t>Koblenz</t>
  </si>
  <si>
    <t>0261 / 2999-66130</t>
  </si>
  <si>
    <t>NCHN007004770000</t>
  </si>
  <si>
    <t>DE_GMK04</t>
  </si>
  <si>
    <t>DE_GHA04</t>
  </si>
  <si>
    <t>DE_GKO04</t>
  </si>
  <si>
    <t>DE_GBD04</t>
  </si>
  <si>
    <t>DE_GBH04</t>
  </si>
  <si>
    <t>DE_GWA04</t>
  </si>
  <si>
    <t>DE_GGB04</t>
  </si>
  <si>
    <t>DE_GGA04</t>
  </si>
  <si>
    <t>DE_GBA04</t>
  </si>
  <si>
    <t>DE_GPD04</t>
  </si>
  <si>
    <t>Nürburg-Barweiler</t>
  </si>
  <si>
    <t>Barweiler</t>
  </si>
  <si>
    <t>UBIMET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</si>
</sst>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2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4" fillId="0" borderId="1" applyNumberFormat="0" applyFill="0" applyAlignment="0" applyProtection="0"/>
    <xf numFmtId="0" fontId="37" fillId="0" borderId="33" applyNumberFormat="0" applyFill="0" applyAlignment="0" applyProtection="0"/>
    <xf numFmtId="0" fontId="5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2" fillId="0" borderId="0"/>
    <xf numFmtId="0" fontId="8" fillId="0" borderId="0"/>
    <xf numFmtId="0" fontId="32" fillId="0" borderId="0"/>
    <xf numFmtId="0" fontId="32" fillId="0" borderId="0"/>
    <xf numFmtId="0" fontId="5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5" fillId="0" borderId="64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3" xfId="0" applyFont="1" applyBorder="1" applyAlignment="1" applyProtection="1">
      <alignment horizontal="center" vertical="center"/>
    </xf>
    <xf numFmtId="0" fontId="7" fillId="0" borderId="65" xfId="0" applyFont="1" applyBorder="1" applyAlignment="1" applyProtection="1">
      <alignment horizontal="center" vertical="center"/>
    </xf>
    <xf numFmtId="0" fontId="7" fillId="0" borderId="61" xfId="0" applyFont="1" applyBorder="1" applyProtection="1"/>
    <xf numFmtId="0" fontId="12" fillId="0" borderId="56" xfId="3" applyFont="1" applyBorder="1" applyProtection="1"/>
    <xf numFmtId="0" fontId="12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59" xfId="0" applyFont="1" applyBorder="1" applyProtection="1"/>
    <xf numFmtId="0" fontId="0" fillId="0" borderId="60" xfId="0" applyFont="1" applyBorder="1" applyProtection="1"/>
    <xf numFmtId="0" fontId="12" fillId="0" borderId="57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69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3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8" xfId="0" applyFont="1" applyFill="1" applyBorder="1" applyAlignment="1" applyProtection="1">
      <alignment horizontal="center" vertical="center"/>
      <protection locked="0"/>
    </xf>
    <xf numFmtId="0" fontId="76" fillId="0" borderId="74" xfId="3" applyFont="1" applyBorder="1" applyAlignment="1" applyProtection="1">
      <alignment horizontal="center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2" fillId="0" borderId="0" xfId="3" applyNumberFormat="1" applyFont="1" applyFill="1" applyAlignment="1" applyProtection="1">
      <alignment horizontal="left"/>
      <protection hidden="1"/>
    </xf>
    <xf numFmtId="1" fontId="12" fillId="0" borderId="0" xfId="3" applyNumberFormat="1" applyFont="1" applyFill="1" applyAlignment="1" applyProtection="1">
      <protection hidden="1"/>
    </xf>
    <xf numFmtId="0" fontId="12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2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2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110" zoomScaleNormal="11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653</v>
      </c>
    </row>
    <row r="8" spans="2:7" s="8" customFormat="1">
      <c r="B8" s="8" t="s">
        <v>656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654</v>
      </c>
    </row>
    <row r="12" spans="2:7" s="8" customFormat="1">
      <c r="B12" s="8" t="s">
        <v>497</v>
      </c>
    </row>
    <row r="13" spans="2:7" s="8" customFormat="1">
      <c r="B13" s="8" t="s">
        <v>655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42248</v>
      </c>
      <c r="E29" s="8"/>
      <c r="F29" s="8"/>
      <c r="G29" s="8"/>
      <c r="H29" s="8"/>
    </row>
    <row r="30" spans="2:12">
      <c r="B30" s="21" t="s">
        <v>347</v>
      </c>
      <c r="C30" s="327" t="s">
        <v>646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39" sqref="D3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650</v>
      </c>
      <c r="D4" s="27">
        <v>42576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649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661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56068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662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2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395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H-Gas</v>
      </c>
      <c r="E28" s="38"/>
      <c r="F28" s="11"/>
      <c r="G28" s="2"/>
    </row>
    <row r="29" spans="1:15">
      <c r="B29" s="15"/>
      <c r="C29" s="22" t="s">
        <v>395</v>
      </c>
      <c r="D29" s="45" t="s">
        <v>612</v>
      </c>
      <c r="E29" s="40"/>
      <c r="F29" s="11"/>
      <c r="G29" s="2"/>
    </row>
    <row r="30" spans="1:15">
      <c r="B30" s="15"/>
      <c r="C30" s="22" t="s">
        <v>396</v>
      </c>
      <c r="D30" s="45" t="s">
        <v>613</v>
      </c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37" zoomScale="120" zoomScaleNormal="12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Energienetze Mittelrhein GmbH &amp; Co. KG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H-Gas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9870047700009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611</v>
      </c>
      <c r="D13" s="33" t="s">
        <v>612</v>
      </c>
      <c r="E13" s="15"/>
      <c r="H13" s="271" t="s">
        <v>612</v>
      </c>
      <c r="I13" s="271" t="s">
        <v>613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664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428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368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571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609</v>
      </c>
      <c r="D22" s="49" t="s">
        <v>605</v>
      </c>
      <c r="E22" s="15"/>
      <c r="H22" s="267" t="s">
        <v>605</v>
      </c>
      <c r="I22" s="267" t="s">
        <v>606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607</v>
      </c>
      <c r="E23" s="15"/>
      <c r="H23" s="267" t="s">
        <v>608</v>
      </c>
      <c r="I23" s="8" t="s">
        <v>604</v>
      </c>
      <c r="J23" s="8"/>
      <c r="K23" s="8"/>
      <c r="L23" s="268"/>
    </row>
    <row r="24" spans="2:16" ht="15" customHeight="1">
      <c r="B24" s="22"/>
      <c r="C24" s="24" t="s">
        <v>610</v>
      </c>
      <c r="D24" s="24" t="str">
        <f>IF(D22=$H$22,L24,IF(D23=$H$24,M24,N24))</f>
        <v>=&gt;  Q(D) = KW  x  h(T, SLP-Typ)  x  F(WT)</v>
      </c>
      <c r="E24" s="15"/>
      <c r="H24" s="267" t="s">
        <v>607</v>
      </c>
      <c r="I24" s="267" t="s">
        <v>614</v>
      </c>
      <c r="J24" s="8"/>
      <c r="K24" s="8"/>
      <c r="L24" s="270" t="s">
        <v>615</v>
      </c>
      <c r="M24" s="270" t="s">
        <v>617</v>
      </c>
      <c r="N24" s="270" t="s">
        <v>616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370</v>
      </c>
      <c r="C26" s="6" t="s">
        <v>574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618</v>
      </c>
      <c r="D27" s="42" t="s">
        <v>619</v>
      </c>
      <c r="E27" s="15"/>
      <c r="H27" s="297" t="s">
        <v>619</v>
      </c>
      <c r="I27" s="269" t="s">
        <v>620</v>
      </c>
      <c r="J27" s="269" t="s">
        <v>621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622</v>
      </c>
      <c r="I28" s="270" t="s">
        <v>623</v>
      </c>
      <c r="J28" s="270" t="s">
        <v>624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625</v>
      </c>
      <c r="I29" s="270" t="s">
        <v>626</v>
      </c>
      <c r="J29" s="270" t="s">
        <v>627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573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628</v>
      </c>
      <c r="I32" s="270" t="s">
        <v>629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630</v>
      </c>
      <c r="I33" s="267" t="s">
        <v>625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545</v>
      </c>
      <c r="C35" s="24" t="s">
        <v>494</v>
      </c>
      <c r="D35" s="42">
        <v>13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546</v>
      </c>
      <c r="C37" s="5" t="s">
        <v>365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547</v>
      </c>
      <c r="C40" s="5" t="s">
        <v>366</v>
      </c>
      <c r="D40" s="36">
        <v>500</v>
      </c>
      <c r="E40" s="15" t="s">
        <v>537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536</v>
      </c>
    </row>
    <row r="44" spans="2:39" ht="18" customHeight="1">
      <c r="C44" s="3" t="s">
        <v>538</v>
      </c>
    </row>
    <row r="45" spans="2:39" ht="18" customHeight="1">
      <c r="C45" s="3"/>
    </row>
    <row r="46" spans="2:39" ht="15" customHeight="1">
      <c r="B46" s="22" t="s">
        <v>548</v>
      </c>
      <c r="C46" s="60" t="s">
        <v>572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582</v>
      </c>
      <c r="D48" s="45" t="s">
        <v>675</v>
      </c>
    </row>
    <row r="49" spans="3:4" ht="18" customHeight="1">
      <c r="C49" s="22" t="s">
        <v>583</v>
      </c>
      <c r="D49" s="45"/>
    </row>
    <row r="50" spans="3:4" ht="18" customHeight="1">
      <c r="C50" s="22" t="s">
        <v>584</v>
      </c>
      <c r="D50" s="45"/>
    </row>
    <row r="51" spans="3:4" ht="18" customHeight="1">
      <c r="C51" s="22" t="s">
        <v>585</v>
      </c>
      <c r="D51" s="45"/>
    </row>
    <row r="52" spans="3:4" ht="18" customHeight="1">
      <c r="C52" s="22" t="s">
        <v>586</v>
      </c>
      <c r="D52" s="45"/>
    </row>
    <row r="53" spans="3:4" ht="18" customHeight="1">
      <c r="C53" s="22" t="s">
        <v>587</v>
      </c>
      <c r="D53" s="45"/>
    </row>
    <row r="54" spans="3:4" ht="18" customHeight="1">
      <c r="C54" s="22" t="s">
        <v>588</v>
      </c>
      <c r="D54" s="45"/>
    </row>
    <row r="55" spans="3:4" ht="18" customHeight="1">
      <c r="C55" s="22" t="s">
        <v>589</v>
      </c>
      <c r="D55" s="45"/>
    </row>
    <row r="56" spans="3:4" ht="18" customHeight="1">
      <c r="C56" s="22" t="s">
        <v>590</v>
      </c>
      <c r="D56" s="45"/>
    </row>
    <row r="57" spans="3:4" ht="18" customHeight="1">
      <c r="C57" s="22" t="s">
        <v>591</v>
      </c>
      <c r="D57" s="45"/>
    </row>
    <row r="58" spans="3:4" ht="18" customHeight="1">
      <c r="C58" s="22" t="s">
        <v>592</v>
      </c>
      <c r="D58" s="45"/>
    </row>
    <row r="59" spans="3:4" ht="18" customHeight="1">
      <c r="C59" s="22" t="s">
        <v>593</v>
      </c>
      <c r="D59" s="45"/>
    </row>
    <row r="60" spans="3:4" ht="18" customHeight="1">
      <c r="C60" s="22" t="s">
        <v>594</v>
      </c>
      <c r="D60" s="45"/>
    </row>
    <row r="61" spans="3:4" ht="18" customHeight="1">
      <c r="C61" s="22" t="s">
        <v>595</v>
      </c>
      <c r="D61" s="45"/>
    </row>
    <row r="62" spans="3:4" ht="18" customHeight="1">
      <c r="C62" s="22" t="s">
        <v>596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E57" sqref="E57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Energienetze Mittelrhein GmbH &amp; Co. KG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H-Gas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9870047700009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1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 t="str">
        <f>INDEX('SLP-Verfahren'!D48:D62,'SLP-Temp-Gebiet #01'!F10)</f>
        <v>Nürburg-Barweiler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580</v>
      </c>
      <c r="D13" s="342"/>
      <c r="E13" s="342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677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677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UBIMET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676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105060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509</v>
      </c>
      <c r="F34" s="155" t="s">
        <v>509</v>
      </c>
      <c r="G34" s="155" t="s">
        <v>509</v>
      </c>
      <c r="H34" s="155" t="s">
        <v>509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UBIMET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Barweiler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105060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Kalendertag</v>
      </c>
      <c r="F68" s="158" t="str">
        <f t="shared" ref="F68:N68" si="15">F34</f>
        <v>Kalendertag</v>
      </c>
      <c r="G68" s="158" t="str">
        <f t="shared" si="15"/>
        <v>Kalendertag</v>
      </c>
      <c r="H68" s="158" t="str">
        <f t="shared" si="15"/>
        <v>Kalendertag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576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F25:N25 I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540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Energienetze Mittelrhein GmbH &amp; Co. KG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H-Gas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9870047700009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519</v>
      </c>
      <c r="D9" s="129"/>
      <c r="E9" s="129"/>
      <c r="F9" s="153">
        <f>'SLP-Verfahren'!D46</f>
        <v>1</v>
      </c>
      <c r="H9" s="171" t="s">
        <v>597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581</v>
      </c>
      <c r="D10" s="129"/>
      <c r="E10" s="129"/>
      <c r="F10" s="49">
        <v>2</v>
      </c>
      <c r="G10" s="57"/>
      <c r="H10" s="171" t="s">
        <v>598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599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580</v>
      </c>
      <c r="D13" s="342"/>
      <c r="E13" s="342"/>
      <c r="F13" s="181" t="s">
        <v>544</v>
      </c>
      <c r="G13" s="129" t="s">
        <v>542</v>
      </c>
      <c r="H13" s="261" t="s">
        <v>559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568</v>
      </c>
      <c r="H14" s="51">
        <v>0</v>
      </c>
      <c r="I14" s="57"/>
      <c r="J14" s="129"/>
      <c r="K14" s="129"/>
      <c r="L14" s="129"/>
      <c r="M14" s="129"/>
      <c r="N14" s="129"/>
      <c r="O14" s="332" t="s">
        <v>647</v>
      </c>
      <c r="R14" s="207" t="s">
        <v>560</v>
      </c>
      <c r="S14" s="207" t="s">
        <v>561</v>
      </c>
      <c r="T14" s="207" t="s">
        <v>562</v>
      </c>
      <c r="U14" s="207" t="s">
        <v>563</v>
      </c>
      <c r="V14" s="207" t="s">
        <v>543</v>
      </c>
      <c r="W14" s="207" t="s">
        <v>564</v>
      </c>
      <c r="X14" s="207" t="s">
        <v>565</v>
      </c>
      <c r="Y14" s="207" t="s">
        <v>566</v>
      </c>
      <c r="Z14" s="207" t="s">
        <v>567</v>
      </c>
      <c r="AA14" s="207" t="s">
        <v>568</v>
      </c>
      <c r="AB14" s="207" t="s">
        <v>569</v>
      </c>
      <c r="AC14" s="207" t="s">
        <v>570</v>
      </c>
    </row>
    <row r="15" spans="2:56" ht="19.5" customHeight="1">
      <c r="B15" s="129"/>
      <c r="C15" s="343" t="s">
        <v>387</v>
      </c>
      <c r="D15" s="343"/>
      <c r="E15" s="89" t="s">
        <v>449</v>
      </c>
      <c r="F15" s="262" t="s">
        <v>71</v>
      </c>
      <c r="G15" s="263" t="s">
        <v>562</v>
      </c>
      <c r="H15" s="51">
        <v>0</v>
      </c>
      <c r="I15" s="57"/>
      <c r="J15" s="129"/>
      <c r="K15" s="129"/>
      <c r="L15" s="129"/>
      <c r="M15" s="129"/>
      <c r="N15" s="129"/>
      <c r="O15" s="160" t="s">
        <v>524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370</v>
      </c>
      <c r="AH15" s="260" t="s">
        <v>492</v>
      </c>
      <c r="AI15" s="260" t="s">
        <v>545</v>
      </c>
      <c r="AJ15" s="260" t="s">
        <v>546</v>
      </c>
      <c r="AK15" s="260" t="s">
        <v>547</v>
      </c>
      <c r="AL15" s="260" t="s">
        <v>548</v>
      </c>
      <c r="AM15" s="260" t="s">
        <v>549</v>
      </c>
      <c r="AN15" s="260" t="s">
        <v>550</v>
      </c>
      <c r="AO15" s="260" t="s">
        <v>551</v>
      </c>
      <c r="AP15" s="260" t="s">
        <v>552</v>
      </c>
      <c r="AQ15" s="260" t="s">
        <v>553</v>
      </c>
      <c r="AR15" s="260" t="s">
        <v>554</v>
      </c>
      <c r="AS15" s="260" t="s">
        <v>555</v>
      </c>
      <c r="AT15" s="260" t="s">
        <v>556</v>
      </c>
      <c r="AU15" s="260" t="s">
        <v>557</v>
      </c>
      <c r="AV15" s="260" t="s">
        <v>558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514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520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515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522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533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517</v>
      </c>
      <c r="D24" s="186"/>
      <c r="E24" s="155" t="s">
        <v>577</v>
      </c>
      <c r="F24" s="155" t="s">
        <v>578</v>
      </c>
      <c r="G24" s="155"/>
      <c r="H24" s="155"/>
      <c r="I24" s="155"/>
      <c r="J24" s="155"/>
      <c r="K24" s="155"/>
      <c r="L24" s="155"/>
      <c r="M24" s="155"/>
      <c r="N24" s="155"/>
      <c r="O24" s="183" t="s">
        <v>518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363</v>
      </c>
      <c r="F25" s="159" t="s">
        <v>363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516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523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529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361</v>
      </c>
      <c r="D33" s="152" t="s">
        <v>360</v>
      </c>
      <c r="E33" s="155" t="s">
        <v>3</v>
      </c>
      <c r="F33" s="155" t="s">
        <v>359</v>
      </c>
      <c r="G33" s="155" t="s">
        <v>350</v>
      </c>
      <c r="H33" s="155" t="s">
        <v>351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601</v>
      </c>
      <c r="D35" s="152" t="s">
        <v>602</v>
      </c>
      <c r="E35" s="155" t="s">
        <v>600</v>
      </c>
      <c r="F35" s="155" t="s">
        <v>600</v>
      </c>
      <c r="G35" s="155" t="s">
        <v>600</v>
      </c>
      <c r="H35" s="155" t="s">
        <v>600</v>
      </c>
      <c r="I35" s="155" t="s">
        <v>600</v>
      </c>
      <c r="J35" s="155" t="s">
        <v>600</v>
      </c>
      <c r="K35" s="155" t="s">
        <v>600</v>
      </c>
      <c r="L35" s="155" t="s">
        <v>600</v>
      </c>
      <c r="M35" s="155" t="s">
        <v>600</v>
      </c>
      <c r="N35" s="155" t="s">
        <v>600</v>
      </c>
      <c r="O35" s="183" t="s">
        <v>142</v>
      </c>
      <c r="Q35" s="209"/>
      <c r="R35" s="67" t="s">
        <v>600</v>
      </c>
      <c r="S35" s="67" t="s">
        <v>603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534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349</v>
      </c>
      <c r="D39" s="196"/>
      <c r="E39" s="196" t="s">
        <v>527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528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521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525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526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531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532</v>
      </c>
      <c r="D46" s="199" t="s">
        <v>530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362</v>
      </c>
      <c r="K46" s="196"/>
      <c r="L46" s="196"/>
      <c r="M46" s="196"/>
      <c r="N46" s="196"/>
      <c r="O46" s="197"/>
    </row>
    <row r="47" spans="2:28">
      <c r="B47" s="191"/>
      <c r="C47" s="198" t="s">
        <v>348</v>
      </c>
      <c r="D47" s="199" t="s">
        <v>530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362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575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539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515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522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533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517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518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516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523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529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361</v>
      </c>
      <c r="D67" s="152" t="s">
        <v>360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601</v>
      </c>
      <c r="D69" s="152" t="s">
        <v>602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534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576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H29" sqref="H29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364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369</v>
      </c>
      <c r="D5" s="54" t="str">
        <f>Netzbetreiber!$D$9</f>
        <v>Energienetze Mittelrhein GmbH &amp; Co. KG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337</v>
      </c>
      <c r="D6" s="54" t="str">
        <f>Netzbetreiber!$D$28</f>
        <v>H-Gas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9870047700009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42278</v>
      </c>
      <c r="E8" s="129"/>
      <c r="F8" s="129"/>
      <c r="H8" s="127" t="s">
        <v>494</v>
      </c>
      <c r="J8" s="131">
        <f>COUNTA(D12:D100)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631</v>
      </c>
      <c r="M10" s="149" t="s">
        <v>640</v>
      </c>
      <c r="N10" s="150" t="s">
        <v>641</v>
      </c>
      <c r="O10" s="150" t="s">
        <v>642</v>
      </c>
      <c r="P10" s="151" t="s">
        <v>643</v>
      </c>
      <c r="Q10" s="145" t="s">
        <v>632</v>
      </c>
      <c r="R10" s="135" t="s">
        <v>633</v>
      </c>
      <c r="S10" s="136" t="s">
        <v>634</v>
      </c>
      <c r="T10" s="136" t="s">
        <v>635</v>
      </c>
      <c r="U10" s="136" t="s">
        <v>636</v>
      </c>
      <c r="V10" s="136" t="s">
        <v>637</v>
      </c>
      <c r="W10" s="136" t="s">
        <v>638</v>
      </c>
      <c r="X10" s="137" t="s">
        <v>639</v>
      </c>
      <c r="Y10" s="294" t="s">
        <v>644</v>
      </c>
    </row>
    <row r="11" spans="2:26" ht="15.75" thickBot="1">
      <c r="B11" s="138" t="s">
        <v>495</v>
      </c>
      <c r="C11" s="139" t="s">
        <v>506</v>
      </c>
      <c r="D11" s="293" t="s">
        <v>247</v>
      </c>
      <c r="E11" s="163" t="s">
        <v>513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0">
        <v>1</v>
      </c>
      <c r="C12" s="141" t="str">
        <f t="shared" ref="C12:C41" si="0">$D$6</f>
        <v>H-Gas</v>
      </c>
      <c r="D12" s="62" t="s">
        <v>247</v>
      </c>
      <c r="E12" s="164" t="s">
        <v>39</v>
      </c>
      <c r="F12" s="296" t="str">
        <f>VLOOKUP($E12,'BDEW-Standard'!$B$3:$M$158,F$9,0)</f>
        <v>P14</v>
      </c>
      <c r="H12" s="273">
        <f>ROUND(VLOOKUP($E12,'BDEW-Standard'!$B$3:$M$158,H$9,0),7)</f>
        <v>3.1764404000000002</v>
      </c>
      <c r="I12" s="273">
        <f>ROUND(VLOOKUP($E12,'BDEW-Standard'!$B$3:$M$158,I$9,0),7)</f>
        <v>-37.410583199999998</v>
      </c>
      <c r="J12" s="273">
        <f>ROUND(VLOOKUP($E12,'BDEW-Standard'!$B$3:$M$158,J$9,0),7)</f>
        <v>6.1622336000000004</v>
      </c>
      <c r="K12" s="273">
        <f>ROUND(VLOOKUP($E12,'BDEW-Standard'!$B$3:$M$158,K$9,0),7)</f>
        <v>7.4154300000000006E-2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4" si="1">($H12/(1+($I12/($Q$9-$L12))^$J12)+$K12)+MAX($M12*$Q$9+$N12,$O12*$Q$9+$P12)</f>
        <v>0.95195693288062622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H-Gas</v>
      </c>
      <c r="D13" s="62" t="s">
        <v>247</v>
      </c>
      <c r="E13" s="164" t="s">
        <v>47</v>
      </c>
      <c r="F13" s="296" t="str">
        <f>VLOOKUP($E13,'BDEW-Standard'!$B$3:$M$158,F$9,0)</f>
        <v>P24</v>
      </c>
      <c r="H13" s="273">
        <f>ROUND(VLOOKUP($E13,'BDEW-Standard'!$B$3:$M$158,H$9,0),7)</f>
        <v>2.5078170000000002</v>
      </c>
      <c r="I13" s="273">
        <f>ROUND(VLOOKUP($E13,'BDEW-Standard'!$B$3:$M$158,I$9,0),7)</f>
        <v>-35.036736300000001</v>
      </c>
      <c r="J13" s="273">
        <f>ROUND(VLOOKUP($E13,'BDEW-Standard'!$B$3:$M$158,J$9,0),7)</f>
        <v>6.2430158999999996</v>
      </c>
      <c r="K13" s="273">
        <f>ROUND(VLOOKUP($E13,'BDEW-Standard'!$B$3:$M$158,K$9,0),7)</f>
        <v>0.1001118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1.0083439326442527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4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H-Gas</v>
      </c>
      <c r="D14" s="62" t="s">
        <v>247</v>
      </c>
      <c r="E14" s="164" t="s">
        <v>4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H-Gas</v>
      </c>
      <c r="D15" s="62" t="s">
        <v>247</v>
      </c>
      <c r="E15" s="164" t="s">
        <v>665</v>
      </c>
      <c r="F15" s="296" t="str">
        <f>VLOOKUP($E15,'BDEW-Standard'!$B$3:$M$158,F$9,0)</f>
        <v>MK4</v>
      </c>
      <c r="H15" s="273">
        <f>ROUND(VLOOKUP($E15,'BDEW-Standard'!$B$3:$M$158,H$9,0),7)</f>
        <v>3.1177248</v>
      </c>
      <c r="I15" s="273">
        <f>ROUND(VLOOKUP($E15,'BDEW-Standard'!$B$3:$M$158,I$9,0),7)</f>
        <v>-35.871506199999999</v>
      </c>
      <c r="J15" s="273">
        <f>ROUND(VLOOKUP($E15,'BDEW-Standard'!$B$3:$M$158,J$9,0),7)</f>
        <v>7.5186828999999999</v>
      </c>
      <c r="K15" s="273">
        <f>ROUND(VLOOKUP($E15,'BDEW-Standard'!$B$3:$M$158,K$9,0),7)</f>
        <v>3.4330100000000002E-2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0.9622064996731321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H-Gas</v>
      </c>
      <c r="D16" s="62" t="s">
        <v>247</v>
      </c>
      <c r="E16" s="164" t="s">
        <v>666</v>
      </c>
      <c r="F16" s="296" t="str">
        <f>VLOOKUP($E16,'BDEW-Standard'!$B$3:$M$158,F$9,0)</f>
        <v>HA4</v>
      </c>
      <c r="H16" s="273">
        <f>ROUND(VLOOKUP($E16,'BDEW-Standard'!$B$3:$M$158,H$9,0),7)</f>
        <v>4.0196902000000003</v>
      </c>
      <c r="I16" s="273">
        <f>ROUND(VLOOKUP($E16,'BDEW-Standard'!$B$3:$M$158,I$9,0),7)</f>
        <v>-37.828203700000003</v>
      </c>
      <c r="J16" s="273">
        <f>ROUND(VLOOKUP($E16,'BDEW-Standard'!$B$3:$M$158,J$9,0),7)</f>
        <v>8.1593368999999996</v>
      </c>
      <c r="K16" s="273">
        <f>ROUND(VLOOKUP($E16,'BDEW-Standard'!$B$3:$M$158,K$9,0),7)</f>
        <v>4.72845E-2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0.86486713303260787</v>
      </c>
      <c r="R16" s="274">
        <f>ROUND(VLOOKUP(MID($E16,4,3),'Wochentag F(WT)'!$B$7:$J$22,R$9,0),4)</f>
        <v>1.0358000000000001</v>
      </c>
      <c r="S16" s="274">
        <f>ROUND(VLOOKUP(MID($E16,4,3),'Wochentag F(WT)'!$B$7:$J$22,S$9,0),4)</f>
        <v>1.0232000000000001</v>
      </c>
      <c r="T16" s="274">
        <f>ROUND(VLOOKUP(MID($E16,4,3),'Wochentag F(WT)'!$B$7:$J$22,T$9,0),4)</f>
        <v>1.0251999999999999</v>
      </c>
      <c r="U16" s="274">
        <f>ROUND(VLOOKUP(MID($E16,4,3),'Wochentag F(WT)'!$B$7:$J$22,U$9,0),4)</f>
        <v>1.0295000000000001</v>
      </c>
      <c r="V16" s="274">
        <f>ROUND(VLOOKUP(MID($E16,4,3),'Wochentag F(WT)'!$B$7:$J$22,V$9,0),4)</f>
        <v>1.0253000000000001</v>
      </c>
      <c r="W16" s="274">
        <f>ROUND(VLOOKUP(MID($E16,4,3),'Wochentag F(WT)'!$B$7:$J$22,W$9,0),4)</f>
        <v>0.96750000000000003</v>
      </c>
      <c r="X16" s="275">
        <f t="shared" si="2"/>
        <v>0.89350000000000041</v>
      </c>
      <c r="Y16" s="292"/>
      <c r="Z16" s="210"/>
    </row>
    <row r="17" spans="2:26" s="142" customFormat="1">
      <c r="B17" s="143">
        <v>6</v>
      </c>
      <c r="C17" s="144" t="str">
        <f t="shared" si="0"/>
        <v>H-Gas</v>
      </c>
      <c r="D17" s="62" t="s">
        <v>247</v>
      </c>
      <c r="E17" s="164" t="s">
        <v>667</v>
      </c>
      <c r="F17" s="296" t="str">
        <f>VLOOKUP($E17,'BDEW-Standard'!$B$3:$M$158,F$9,0)</f>
        <v>KO4</v>
      </c>
      <c r="H17" s="273">
        <f>ROUND(VLOOKUP($E17,'BDEW-Standard'!$B$3:$M$158,H$9,0),7)</f>
        <v>3.4428942999999999</v>
      </c>
      <c r="I17" s="273">
        <f>ROUND(VLOOKUP($E17,'BDEW-Standard'!$B$3:$M$158,I$9,0),7)</f>
        <v>-36.659050399999998</v>
      </c>
      <c r="J17" s="273">
        <f>ROUND(VLOOKUP($E17,'BDEW-Standard'!$B$3:$M$158,J$9,0),7)</f>
        <v>7.6083226000000002</v>
      </c>
      <c r="K17" s="273">
        <f>ROUND(VLOOKUP($E17,'BDEW-Standard'!$B$3:$M$158,K$9,0),7)</f>
        <v>7.4685000000000001E-2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0.97768382110526542</v>
      </c>
      <c r="R17" s="274">
        <f>ROUND(VLOOKUP(MID($E17,4,3),'Wochentag F(WT)'!$B$7:$J$22,R$9,0),4)</f>
        <v>1.0354000000000001</v>
      </c>
      <c r="S17" s="274">
        <f>ROUND(VLOOKUP(MID($E17,4,3),'Wochentag F(WT)'!$B$7:$J$22,S$9,0),4)</f>
        <v>1.0523</v>
      </c>
      <c r="T17" s="274">
        <f>ROUND(VLOOKUP(MID($E17,4,3),'Wochentag F(WT)'!$B$7:$J$22,T$9,0),4)</f>
        <v>1.0448999999999999</v>
      </c>
      <c r="U17" s="274">
        <f>ROUND(VLOOKUP(MID($E17,4,3),'Wochentag F(WT)'!$B$7:$J$22,U$9,0),4)</f>
        <v>1.0494000000000001</v>
      </c>
      <c r="V17" s="274">
        <f>ROUND(VLOOKUP(MID($E17,4,3),'Wochentag F(WT)'!$B$7:$J$22,V$9,0),4)</f>
        <v>0.98850000000000005</v>
      </c>
      <c r="W17" s="274">
        <f>ROUND(VLOOKUP(MID($E17,4,3),'Wochentag F(WT)'!$B$7:$J$22,W$9,0),4)</f>
        <v>0.88600000000000001</v>
      </c>
      <c r="X17" s="275">
        <f t="shared" si="2"/>
        <v>0.94349999999999934</v>
      </c>
      <c r="Y17" s="292"/>
      <c r="Z17" s="210"/>
    </row>
    <row r="18" spans="2:26" s="142" customFormat="1">
      <c r="B18" s="143">
        <v>7</v>
      </c>
      <c r="C18" s="144" t="str">
        <f t="shared" si="0"/>
        <v>H-Gas</v>
      </c>
      <c r="D18" s="62" t="s">
        <v>247</v>
      </c>
      <c r="E18" s="164" t="s">
        <v>668</v>
      </c>
      <c r="F18" s="296" t="str">
        <f>VLOOKUP($E18,'BDEW-Standard'!$B$3:$M$158,F$9,0)</f>
        <v>BD4</v>
      </c>
      <c r="H18" s="273">
        <f>ROUND(VLOOKUP($E18,'BDEW-Standard'!$B$3:$M$158,H$9,0),7)</f>
        <v>3.75</v>
      </c>
      <c r="I18" s="273">
        <f>ROUND(VLOOKUP($E18,'BDEW-Standard'!$B$3:$M$158,I$9,0),7)</f>
        <v>-37.5</v>
      </c>
      <c r="J18" s="273">
        <f>ROUND(VLOOKUP($E18,'BDEW-Standard'!$B$3:$M$158,J$9,0),7)</f>
        <v>6.8</v>
      </c>
      <c r="K18" s="273">
        <f>ROUND(VLOOKUP($E18,'BDEW-Standard'!$B$3:$M$158,K$9,0),7)</f>
        <v>6.0911300000000002E-2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1.0126136468627658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H-Gas</v>
      </c>
      <c r="D19" s="62" t="s">
        <v>247</v>
      </c>
      <c r="E19" s="164" t="s">
        <v>669</v>
      </c>
      <c r="F19" s="296" t="str">
        <f>VLOOKUP($E19,'BDEW-Standard'!$B$3:$M$158,F$9,0)</f>
        <v>BH4</v>
      </c>
      <c r="H19" s="273">
        <f>ROUND(VLOOKUP($E19,'BDEW-Standard'!$B$3:$M$158,H$9,0),7)</f>
        <v>2.4595180999999999</v>
      </c>
      <c r="I19" s="273">
        <f>ROUND(VLOOKUP($E19,'BDEW-Standard'!$B$3:$M$158,I$9,0),7)</f>
        <v>-35.253212400000002</v>
      </c>
      <c r="J19" s="273">
        <f>ROUND(VLOOKUP($E19,'BDEW-Standard'!$B$3:$M$158,J$9,0),7)</f>
        <v>6.0587001000000003</v>
      </c>
      <c r="K19" s="273">
        <f>ROUND(VLOOKUP($E19,'BDEW-Standard'!$B$3:$M$158,K$9,0),7)</f>
        <v>0.16473699999999999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1.043802057143173</v>
      </c>
      <c r="R19" s="274">
        <f>ROUND(VLOOKUP(MID($E19,4,3),'Wochentag F(WT)'!$B$7:$J$22,R$9,0),4)</f>
        <v>0.97670000000000001</v>
      </c>
      <c r="S19" s="274">
        <f>ROUND(VLOOKUP(MID($E19,4,3),'Wochentag F(WT)'!$B$7:$J$22,S$9,0),4)</f>
        <v>1.0388999999999999</v>
      </c>
      <c r="T19" s="274">
        <f>ROUND(VLOOKUP(MID($E19,4,3),'Wochentag F(WT)'!$B$7:$J$22,T$9,0),4)</f>
        <v>1.0027999999999999</v>
      </c>
      <c r="U19" s="274">
        <f>ROUND(VLOOKUP(MID($E19,4,3),'Wochentag F(WT)'!$B$7:$J$22,U$9,0),4)</f>
        <v>1.0162</v>
      </c>
      <c r="V19" s="274">
        <f>ROUND(VLOOKUP(MID($E19,4,3),'Wochentag F(WT)'!$B$7:$J$22,V$9,0),4)</f>
        <v>1.0024</v>
      </c>
      <c r="W19" s="274">
        <f>ROUND(VLOOKUP(MID($E19,4,3),'Wochentag F(WT)'!$B$7:$J$22,W$9,0),4)</f>
        <v>1.0043</v>
      </c>
      <c r="X19" s="275">
        <f t="shared" si="2"/>
        <v>0.95870000000000122</v>
      </c>
      <c r="Y19" s="292"/>
      <c r="Z19" s="210"/>
    </row>
    <row r="20" spans="2:26" s="142" customFormat="1">
      <c r="B20" s="143">
        <v>9</v>
      </c>
      <c r="C20" s="144" t="str">
        <f t="shared" si="0"/>
        <v>H-Gas</v>
      </c>
      <c r="D20" s="62" t="s">
        <v>247</v>
      </c>
      <c r="E20" s="164" t="s">
        <v>670</v>
      </c>
      <c r="F20" s="296" t="str">
        <f>VLOOKUP($E20,'BDEW-Standard'!$B$3:$M$158,F$9,0)</f>
        <v>WA4</v>
      </c>
      <c r="H20" s="273">
        <f>ROUND(VLOOKUP($E20,'BDEW-Standard'!$B$3:$M$158,H$9,0),7)</f>
        <v>1.0535874999999999</v>
      </c>
      <c r="I20" s="273">
        <f>ROUND(VLOOKUP($E20,'BDEW-Standard'!$B$3:$M$158,I$9,0),7)</f>
        <v>-35.299999999999997</v>
      </c>
      <c r="J20" s="273">
        <f>ROUND(VLOOKUP($E20,'BDEW-Standard'!$B$3:$M$158,J$9,0),7)</f>
        <v>4.8662747</v>
      </c>
      <c r="K20" s="273">
        <f>ROUND(VLOOKUP($E20,'BDEW-Standard'!$B$3:$M$158,K$9,0),7)</f>
        <v>0.68110420000000005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1.0844348950990992</v>
      </c>
      <c r="R20" s="274">
        <f>ROUND(VLOOKUP(MID($E20,4,3),'Wochentag F(WT)'!$B$7:$J$22,R$9,0),4)</f>
        <v>1.2457</v>
      </c>
      <c r="S20" s="274">
        <f>ROUND(VLOOKUP(MID($E20,4,3),'Wochentag F(WT)'!$B$7:$J$22,S$9,0),4)</f>
        <v>1.2615000000000001</v>
      </c>
      <c r="T20" s="274">
        <f>ROUND(VLOOKUP(MID($E20,4,3),'Wochentag F(WT)'!$B$7:$J$22,T$9,0),4)</f>
        <v>1.2706999999999999</v>
      </c>
      <c r="U20" s="274">
        <f>ROUND(VLOOKUP(MID($E20,4,3),'Wochentag F(WT)'!$B$7:$J$22,U$9,0),4)</f>
        <v>1.2430000000000001</v>
      </c>
      <c r="V20" s="274">
        <f>ROUND(VLOOKUP(MID($E20,4,3),'Wochentag F(WT)'!$B$7:$J$22,V$9,0),4)</f>
        <v>1.1275999999999999</v>
      </c>
      <c r="W20" s="274">
        <f>ROUND(VLOOKUP(MID($E20,4,3),'Wochentag F(WT)'!$B$7:$J$22,W$9,0),4)</f>
        <v>0.38769999999999999</v>
      </c>
      <c r="X20" s="275">
        <f t="shared" si="2"/>
        <v>0.46379999999999999</v>
      </c>
      <c r="Y20" s="292"/>
      <c r="Z20" s="210"/>
    </row>
    <row r="21" spans="2:26" s="142" customFormat="1">
      <c r="B21" s="143">
        <v>10</v>
      </c>
      <c r="C21" s="144" t="str">
        <f t="shared" si="0"/>
        <v>H-Gas</v>
      </c>
      <c r="D21" s="62" t="s">
        <v>247</v>
      </c>
      <c r="E21" s="164" t="s">
        <v>673</v>
      </c>
      <c r="F21" s="296" t="str">
        <f>VLOOKUP($E21,'BDEW-Standard'!$B$3:$M$158,F$9,0)</f>
        <v>BA4</v>
      </c>
      <c r="H21" s="273">
        <f>ROUND(VLOOKUP($E21,'BDEW-Standard'!$B$3:$M$158,H$9,0),7)</f>
        <v>0.93158890000000005</v>
      </c>
      <c r="I21" s="273">
        <f>ROUND(VLOOKUP($E21,'BDEW-Standard'!$B$3:$M$158,I$9,0),7)</f>
        <v>-33.35</v>
      </c>
      <c r="J21" s="273">
        <f>ROUND(VLOOKUP($E21,'BDEW-Standard'!$B$3:$M$158,J$9,0),7)</f>
        <v>5.7212303000000002</v>
      </c>
      <c r="K21" s="273">
        <f>ROUND(VLOOKUP($E21,'BDEW-Standard'!$B$3:$M$158,K$9,0),7)</f>
        <v>0.66564939999999995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1.0766391850538448</v>
      </c>
      <c r="R21" s="274">
        <f>ROUND(VLOOKUP(MID($E21,4,3),'Wochentag F(WT)'!$B$7:$J$22,R$9,0),4)</f>
        <v>1.0848</v>
      </c>
      <c r="S21" s="274">
        <f>ROUND(VLOOKUP(MID($E21,4,3),'Wochentag F(WT)'!$B$7:$J$22,S$9,0),4)</f>
        <v>1.1211</v>
      </c>
      <c r="T21" s="274">
        <f>ROUND(VLOOKUP(MID($E21,4,3),'Wochentag F(WT)'!$B$7:$J$22,T$9,0),4)</f>
        <v>1.0769</v>
      </c>
      <c r="U21" s="274">
        <f>ROUND(VLOOKUP(MID($E21,4,3),'Wochentag F(WT)'!$B$7:$J$22,U$9,0),4)</f>
        <v>1.1353</v>
      </c>
      <c r="V21" s="274">
        <f>ROUND(VLOOKUP(MID($E21,4,3),'Wochentag F(WT)'!$B$7:$J$22,V$9,0),4)</f>
        <v>1.1402000000000001</v>
      </c>
      <c r="W21" s="274">
        <f>ROUND(VLOOKUP(MID($E21,4,3),'Wochentag F(WT)'!$B$7:$J$22,W$9,0),4)</f>
        <v>0.48520000000000002</v>
      </c>
      <c r="X21" s="275">
        <f t="shared" si="2"/>
        <v>0.95650000000000013</v>
      </c>
      <c r="Y21" s="292"/>
      <c r="Z21" s="210"/>
    </row>
    <row r="22" spans="2:26" s="142" customFormat="1">
      <c r="B22" s="143">
        <v>11</v>
      </c>
      <c r="C22" s="144" t="str">
        <f t="shared" si="0"/>
        <v>H-Gas</v>
      </c>
      <c r="D22" s="62" t="s">
        <v>247</v>
      </c>
      <c r="E22" s="164" t="s">
        <v>672</v>
      </c>
      <c r="F22" s="296" t="str">
        <f>VLOOKUP($E22,'BDEW-Standard'!$B$3:$M$158,F$9,0)</f>
        <v>GA4</v>
      </c>
      <c r="H22" s="273">
        <f>ROUND(VLOOKUP($E22,'BDEW-Standard'!$B$3:$M$158,H$9,0),7)</f>
        <v>2.8195655999999998</v>
      </c>
      <c r="I22" s="273">
        <f>ROUND(VLOOKUP($E22,'BDEW-Standard'!$B$3:$M$158,I$9,0),7)</f>
        <v>-36</v>
      </c>
      <c r="J22" s="273">
        <f>ROUND(VLOOKUP($E22,'BDEW-Standard'!$B$3:$M$158,J$9,0),7)</f>
        <v>7.7368518000000002</v>
      </c>
      <c r="K22" s="273">
        <f>ROUND(VLOOKUP($E22,'BDEW-Standard'!$B$3:$M$158,K$9,0),7)</f>
        <v>0.157281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0.96576337685759206</v>
      </c>
      <c r="R22" s="274">
        <f>ROUND(VLOOKUP(MID($E22,4,3),'Wochentag F(WT)'!$B$7:$J$22,R$9,0),4)</f>
        <v>0.93220000000000003</v>
      </c>
      <c r="S22" s="274">
        <f>ROUND(VLOOKUP(MID($E22,4,3),'Wochentag F(WT)'!$B$7:$J$22,S$9,0),4)</f>
        <v>0.98939999999999995</v>
      </c>
      <c r="T22" s="274">
        <f>ROUND(VLOOKUP(MID($E22,4,3),'Wochentag F(WT)'!$B$7:$J$22,T$9,0),4)</f>
        <v>1.0033000000000001</v>
      </c>
      <c r="U22" s="274">
        <f>ROUND(VLOOKUP(MID($E22,4,3),'Wochentag F(WT)'!$B$7:$J$22,U$9,0),4)</f>
        <v>1.0108999999999999</v>
      </c>
      <c r="V22" s="274">
        <f>ROUND(VLOOKUP(MID($E22,4,3),'Wochentag F(WT)'!$B$7:$J$22,V$9,0),4)</f>
        <v>1.018</v>
      </c>
      <c r="W22" s="274">
        <f>ROUND(VLOOKUP(MID($E22,4,3),'Wochentag F(WT)'!$B$7:$J$22,W$9,0),4)</f>
        <v>1.0356000000000001</v>
      </c>
      <c r="X22" s="275">
        <f t="shared" si="2"/>
        <v>1.0106000000000002</v>
      </c>
      <c r="Y22" s="292"/>
      <c r="Z22" s="210"/>
    </row>
    <row r="23" spans="2:26" s="142" customFormat="1">
      <c r="B23" s="143">
        <v>12</v>
      </c>
      <c r="C23" s="144" t="str">
        <f t="shared" si="0"/>
        <v>H-Gas</v>
      </c>
      <c r="D23" s="62" t="s">
        <v>247</v>
      </c>
      <c r="E23" s="164" t="s">
        <v>671</v>
      </c>
      <c r="F23" s="296" t="str">
        <f>VLOOKUP($E23,'BDEW-Standard'!$B$3:$M$158,F$9,0)</f>
        <v>GB4</v>
      </c>
      <c r="H23" s="273">
        <f>ROUND(VLOOKUP($E23,'BDEW-Standard'!$B$3:$M$158,H$9,0),7)</f>
        <v>3.6017736</v>
      </c>
      <c r="I23" s="273">
        <f>ROUND(VLOOKUP($E23,'BDEW-Standard'!$B$3:$M$158,I$9,0),7)</f>
        <v>-37.882536799999997</v>
      </c>
      <c r="J23" s="273">
        <f>ROUND(VLOOKUP($E23,'BDEW-Standard'!$B$3:$M$158,J$9,0),7)</f>
        <v>6.9836070000000001</v>
      </c>
      <c r="K23" s="273">
        <f>ROUND(VLOOKUP($E23,'BDEW-Standard'!$B$3:$M$158,K$9,0),7)</f>
        <v>5.4826199999999999E-2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0.90239375975311864</v>
      </c>
      <c r="R23" s="274">
        <f>ROUND(VLOOKUP(MID($E23,4,3),'Wochentag F(WT)'!$B$7:$J$22,R$9,0),4)</f>
        <v>0.98970000000000002</v>
      </c>
      <c r="S23" s="274">
        <f>ROUND(VLOOKUP(MID($E23,4,3),'Wochentag F(WT)'!$B$7:$J$22,S$9,0),4)</f>
        <v>0.9627</v>
      </c>
      <c r="T23" s="274">
        <f>ROUND(VLOOKUP(MID($E23,4,3),'Wochentag F(WT)'!$B$7:$J$22,T$9,0),4)</f>
        <v>1.0507</v>
      </c>
      <c r="U23" s="274">
        <f>ROUND(VLOOKUP(MID($E23,4,3),'Wochentag F(WT)'!$B$7:$J$22,U$9,0),4)</f>
        <v>1.0551999999999999</v>
      </c>
      <c r="V23" s="274">
        <f>ROUND(VLOOKUP(MID($E23,4,3),'Wochentag F(WT)'!$B$7:$J$22,V$9,0),4)</f>
        <v>1.0297000000000001</v>
      </c>
      <c r="W23" s="274">
        <f>ROUND(VLOOKUP(MID($E23,4,3),'Wochentag F(WT)'!$B$7:$J$22,W$9,0),4)</f>
        <v>0.97670000000000001</v>
      </c>
      <c r="X23" s="275">
        <f t="shared" si="2"/>
        <v>0.9352999999999998</v>
      </c>
      <c r="Y23" s="292"/>
      <c r="Z23" s="210"/>
    </row>
    <row r="24" spans="2:26" s="142" customFormat="1">
      <c r="B24" s="143">
        <v>13</v>
      </c>
      <c r="C24" s="144" t="str">
        <f t="shared" si="0"/>
        <v>H-Gas</v>
      </c>
      <c r="D24" s="62" t="s">
        <v>247</v>
      </c>
      <c r="E24" s="164" t="s">
        <v>674</v>
      </c>
      <c r="F24" s="296" t="str">
        <f>VLOOKUP($E24,'BDEW-Standard'!$B$3:$M$158,F$9,0)</f>
        <v>PD4</v>
      </c>
      <c r="H24" s="273">
        <f>ROUND(VLOOKUP($E24,'BDEW-Standard'!$B$3:$M$158,H$9,0),7)</f>
        <v>3.85</v>
      </c>
      <c r="I24" s="273">
        <f>ROUND(VLOOKUP($E24,'BDEW-Standard'!$B$3:$M$158,I$9,0),7)</f>
        <v>-37</v>
      </c>
      <c r="J24" s="273">
        <f>ROUND(VLOOKUP($E24,'BDEW-Standard'!$B$3:$M$158,J$9,0),7)</f>
        <v>10.2405021</v>
      </c>
      <c r="K24" s="273">
        <f>ROUND(VLOOKUP($E24,'BDEW-Standard'!$B$3:$M$158,K$9,0),7)</f>
        <v>4.6924300000000002E-2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0.75691065279879233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92"/>
      <c r="Z24" s="210"/>
    </row>
    <row r="25" spans="2:26" s="142" customFormat="1">
      <c r="B25" s="143">
        <v>14</v>
      </c>
      <c r="C25" s="144" t="str">
        <f t="shared" si="0"/>
        <v>H-Gas</v>
      </c>
      <c r="D25" s="62"/>
      <c r="E25" s="164"/>
      <c r="F25" s="296"/>
      <c r="H25" s="273"/>
      <c r="I25" s="273"/>
      <c r="J25" s="273"/>
      <c r="K25" s="273"/>
      <c r="L25" s="337"/>
      <c r="M25" s="273"/>
      <c r="N25" s="273"/>
      <c r="O25" s="273"/>
      <c r="P25" s="273"/>
      <c r="Q25" s="338"/>
      <c r="R25" s="274"/>
      <c r="S25" s="274"/>
      <c r="T25" s="274"/>
      <c r="U25" s="274"/>
      <c r="V25" s="274"/>
      <c r="W25" s="274"/>
      <c r="X25" s="275"/>
      <c r="Y25" s="292"/>
      <c r="Z25" s="210"/>
    </row>
    <row r="26" spans="2:26" s="142" customFormat="1">
      <c r="B26" s="143">
        <v>15</v>
      </c>
      <c r="C26" s="144" t="str">
        <f t="shared" si="0"/>
        <v>H-Gas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H-Gas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H-Gas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H-Gas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H-Gas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H-Gas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H-Gas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H-Gas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H-Gas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H-Gas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H-Gas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H-Gas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H-Gas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H-Gas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H-Gas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H-Gas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4 F13:P24 G12:P12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H6" sqref="H6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Energienetze Mittelrhein GmbH &amp; Co. KG</v>
      </c>
      <c r="D4" s="76"/>
      <c r="G4" s="76"/>
      <c r="I4" s="76"/>
      <c r="J4" s="77"/>
      <c r="M4" s="86" t="s">
        <v>535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H-Gas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9870047700009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426</v>
      </c>
    </row>
    <row r="10" spans="2:30" ht="72" customHeight="1" thickBot="1">
      <c r="B10" s="350" t="s">
        <v>579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427</v>
      </c>
    </row>
    <row r="11" spans="2:30" ht="15.75" thickBot="1">
      <c r="B11" s="102" t="s">
        <v>418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3">
        <f>MIN(SUMPRODUCT($M$11:$AD$11,M12:AD12),1)</f>
        <v>1</v>
      </c>
      <c r="F12" s="300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399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400</v>
      </c>
      <c r="C14" s="116"/>
      <c r="D14" s="111">
        <v>6</v>
      </c>
      <c r="E14" s="304">
        <f t="shared" si="0"/>
        <v>0</v>
      </c>
      <c r="F14" s="301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652</v>
      </c>
      <c r="C15" s="116"/>
      <c r="D15" s="111">
        <v>7</v>
      </c>
      <c r="E15" s="304">
        <f t="shared" si="0"/>
        <v>0</v>
      </c>
      <c r="F15" s="301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413</v>
      </c>
      <c r="C16" s="116"/>
      <c r="D16" s="111">
        <v>8</v>
      </c>
      <c r="E16" s="304">
        <f t="shared" si="0"/>
        <v>1</v>
      </c>
      <c r="F16" s="301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414</v>
      </c>
      <c r="C17" s="116"/>
      <c r="D17" s="111">
        <v>9</v>
      </c>
      <c r="E17" s="304">
        <f t="shared" si="0"/>
        <v>1</v>
      </c>
      <c r="F17" s="301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415</v>
      </c>
      <c r="C18" s="116"/>
      <c r="D18" s="111">
        <v>10</v>
      </c>
      <c r="E18" s="304">
        <f t="shared" si="0"/>
        <v>1</v>
      </c>
      <c r="F18" s="301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402</v>
      </c>
      <c r="C19" s="116"/>
      <c r="D19" s="111">
        <v>11</v>
      </c>
      <c r="E19" s="304">
        <f t="shared" si="0"/>
        <v>1</v>
      </c>
      <c r="F19" s="301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645</v>
      </c>
      <c r="C20" s="116"/>
      <c r="D20" s="111">
        <v>12</v>
      </c>
      <c r="E20" s="304">
        <f t="shared" si="0"/>
        <v>1</v>
      </c>
      <c r="F20" s="301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416</v>
      </c>
      <c r="C21" s="116"/>
      <c r="D21" s="111">
        <v>13</v>
      </c>
      <c r="E21" s="304">
        <f t="shared" si="0"/>
        <v>1</v>
      </c>
      <c r="F21" s="301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417</v>
      </c>
      <c r="C22" s="116"/>
      <c r="D22" s="111">
        <v>14</v>
      </c>
      <c r="E22" s="304">
        <f t="shared" si="0"/>
        <v>1</v>
      </c>
      <c r="F22" s="301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651</v>
      </c>
      <c r="C23" s="116"/>
      <c r="D23" s="111">
        <v>15</v>
      </c>
      <c r="E23" s="304">
        <f t="shared" si="0"/>
        <v>0</v>
      </c>
      <c r="F23" s="301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403</v>
      </c>
      <c r="C24" s="116"/>
      <c r="D24" s="111">
        <v>16</v>
      </c>
      <c r="E24" s="304">
        <f t="shared" si="0"/>
        <v>0</v>
      </c>
      <c r="F24" s="301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404</v>
      </c>
      <c r="C25" s="116"/>
      <c r="D25" s="111">
        <v>17</v>
      </c>
      <c r="E25" s="304">
        <f t="shared" si="0"/>
        <v>0</v>
      </c>
      <c r="F25" s="301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405</v>
      </c>
      <c r="C26" s="116"/>
      <c r="D26" s="111">
        <v>18</v>
      </c>
      <c r="E26" s="304">
        <f t="shared" si="0"/>
        <v>1</v>
      </c>
      <c r="F26" s="301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406</v>
      </c>
      <c r="C27" s="116"/>
      <c r="D27" s="111">
        <v>19</v>
      </c>
      <c r="E27" s="304">
        <f t="shared" si="0"/>
        <v>0</v>
      </c>
      <c r="F27" s="301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407</v>
      </c>
      <c r="C28" s="116"/>
      <c r="D28" s="111">
        <v>20</v>
      </c>
      <c r="E28" s="304">
        <f t="shared" si="0"/>
        <v>0</v>
      </c>
      <c r="F28" s="301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408</v>
      </c>
      <c r="C29" s="116"/>
      <c r="D29" s="111">
        <v>21</v>
      </c>
      <c r="E29" s="304">
        <f t="shared" si="0"/>
        <v>0</v>
      </c>
      <c r="F29" s="301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409</v>
      </c>
      <c r="C30" s="116"/>
      <c r="D30" s="111">
        <v>22</v>
      </c>
      <c r="E30" s="304">
        <f t="shared" si="0"/>
        <v>0</v>
      </c>
      <c r="F30" s="301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410</v>
      </c>
      <c r="C31" s="116"/>
      <c r="D31" s="111">
        <v>23</v>
      </c>
      <c r="E31" s="304">
        <f t="shared" si="0"/>
        <v>1</v>
      </c>
      <c r="F31" s="301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411</v>
      </c>
      <c r="C32" s="116"/>
      <c r="D32" s="111">
        <v>24</v>
      </c>
      <c r="E32" s="304">
        <f t="shared" si="0"/>
        <v>1</v>
      </c>
      <c r="F32" s="301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412</v>
      </c>
      <c r="C33" s="122"/>
      <c r="D33" s="123">
        <v>25</v>
      </c>
      <c r="E33" s="305">
        <f t="shared" si="0"/>
        <v>0</v>
      </c>
      <c r="F33" s="302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00" zoomScale="80" zoomScaleNormal="80" workbookViewId="0">
      <selection activeCell="A9" sqref="A9:XFD9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346</v>
      </c>
      <c r="B1" s="212">
        <v>42173</v>
      </c>
      <c r="D1" s="130" t="s">
        <v>454</v>
      </c>
      <c r="F1" s="213" t="s">
        <v>541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648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541</v>
      </c>
    </row>
    <row r="2" spans="1:16">
      <c r="A2" s="233"/>
      <c r="B2" s="232" t="s">
        <v>456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367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367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Haberstock, Steffen</cp:lastModifiedBy>
  <cp:lastPrinted>2015-03-20T22:59:10Z</cp:lastPrinted>
  <dcterms:created xsi:type="dcterms:W3CDTF">2015-01-15T05:25:41Z</dcterms:created>
  <dcterms:modified xsi:type="dcterms:W3CDTF">2019-12-09T07:42:01Z</dcterms:modified>
</cp:coreProperties>
</file>